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<sst xmlns="http://schemas.openxmlformats.org/spreadsheetml/2006/main" count="64" uniqueCount="48">
  <si>
    <t>Tension swatch</t>
  </si>
  <si>
    <t>Per 10cm=</t>
  </si>
  <si>
    <t>st</t>
  </si>
  <si>
    <t>rows</t>
  </si>
  <si>
    <t>Per inch=</t>
  </si>
  <si>
    <t>Standard knit (all one piece)</t>
  </si>
  <si>
    <t>Sideways knit (make 2)</t>
  </si>
  <si>
    <t>Cast on</t>
  </si>
  <si>
    <t>K to row</t>
  </si>
  <si>
    <t>From needle</t>
  </si>
  <si>
    <t>R</t>
  </si>
  <si>
    <t>Cast on to needle</t>
  </si>
  <si>
    <t>to needle</t>
  </si>
  <si>
    <t>K across</t>
  </si>
  <si>
    <t>K to</t>
  </si>
  <si>
    <t>, COL</t>
  </si>
  <si>
    <t>Cast on until</t>
  </si>
  <si>
    <t>Mark row</t>
  </si>
  <si>
    <t>on RHS</t>
  </si>
  <si>
    <t>Cast off in centre</t>
  </si>
  <si>
    <t>K until</t>
  </si>
  <si>
    <t>Cast off</t>
  </si>
  <si>
    <t>Cast off to needle</t>
  </si>
  <si>
    <t>Cast off loosely</t>
  </si>
  <si>
    <t>(marks indicate neck edges)</t>
  </si>
  <si>
    <t>Some tensions (based on Brother 836 and 260 machines)</t>
  </si>
  <si>
    <t>DK, chunky m/c, T=3</t>
  </si>
  <si>
    <t>DK, standard m/c, T=9</t>
  </si>
  <si>
    <t>Aran, chunky m/c, T=6</t>
  </si>
  <si>
    <t>4 ply, standard m/c, T=6</t>
  </si>
  <si>
    <t>Instructions</t>
  </si>
  <si>
    <t>Paste gauge measurements from above or your own measurements into the two boxes above,</t>
  </si>
  <si>
    <t>the spreadsheet will automatically calculate the pattern</t>
  </si>
  <si>
    <t>Note - some of the larger sizes are too wide for most machines - either split down the middle,</t>
  </si>
  <si>
    <t>or make the garment in separate parts</t>
  </si>
  <si>
    <t>Neck 7(7:7.5:7.5:8.5)"</t>
  </si>
  <si>
    <t>Please post finished sweaters to:</t>
  </si>
  <si>
    <t>Guideposts Knit for Kids, 39 Seminary Hill Road, Carmel, N.Y. 10512.</t>
  </si>
  <si>
    <t>Overall width 24.5(26:27.5:29:30.5)"</t>
  </si>
  <si>
    <t>Sleeve length</t>
  </si>
  <si>
    <t>5.5(6:6.5:7:7.5)"</t>
  </si>
  <si>
    <t>For the handknit pattern, and other patterns, see http://www.knitforkids.org/</t>
  </si>
  <si>
    <t>Overall length</t>
  </si>
  <si>
    <t>Converted by Jane Harrisson 2006</t>
  </si>
  <si>
    <t>14(15.5:17:18.5:20)"</t>
  </si>
  <si>
    <t>Body length</t>
  </si>
  <si>
    <t>8.5(9.5:10.5:11.5:12.5)"</t>
  </si>
  <si>
    <t>13.5(14:14.5:15:15.5)"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</si>
</sst>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0.0"/>
      <color rgb="FF000000"/>
    </font>
    <font/>
    <font>
      <b/>
      <sz val="10.0"/>
      <color rgb="FF000000"/>
    </font>
    <font>
      <u/>
      <sz val="10.0"/>
      <color rgb="FF0000FF"/>
    </font>
  </fonts>
  <fills count="8">
    <fill>
      <patternFill patternType="none"/>
    </fill>
    <fill>
      <patternFill patternType="lightGray"/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</fills>
  <borders count="11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readingOrder="0" shrinkToFit="0" vertical="bottom" wrapText="0"/>
    </xf>
    <xf borderId="1" fillId="0" fontId="2" numFmtId="0" xfId="0" applyAlignment="1" applyBorder="1" applyFont="1">
      <alignment shrinkToFit="0" wrapText="1"/>
    </xf>
    <xf borderId="2" fillId="0" fontId="1" numFmtId="0" xfId="0" applyAlignment="1" applyBorder="1" applyFont="1">
      <alignment readingOrder="0" shrinkToFit="0" vertical="bottom" wrapText="0"/>
    </xf>
    <xf borderId="3" fillId="0" fontId="1" numFmtId="0" xfId="0" applyAlignment="1" applyBorder="1" applyFont="1">
      <alignment readingOrder="0" shrinkToFit="0" vertical="bottom" wrapText="0"/>
    </xf>
    <xf borderId="4" fillId="0" fontId="1" numFmtId="0" xfId="0" applyAlignment="1" applyBorder="1" applyFont="1">
      <alignment readingOrder="0" shrinkToFit="0" vertical="bottom" wrapText="0"/>
    </xf>
    <xf borderId="5" fillId="0" fontId="1" numFmtId="0" xfId="0" applyAlignment="1" applyBorder="1" applyFont="1">
      <alignment readingOrder="0" shrinkToFit="0" vertical="bottom" wrapText="0"/>
    </xf>
    <xf borderId="6" fillId="0" fontId="1" numFmtId="0" xfId="0" applyAlignment="1" applyBorder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2" fontId="1" numFmtId="1" xfId="0" applyAlignment="1" applyFill="1" applyFont="1" applyNumberFormat="1">
      <alignment horizontal="right" shrinkToFit="0" vertical="bottom" wrapText="0"/>
    </xf>
    <xf borderId="0" fillId="3" fontId="1" numFmtId="1" xfId="0" applyAlignment="1" applyFill="1" applyFont="1" applyNumberFormat="1">
      <alignment horizontal="right" shrinkToFit="0" vertical="bottom" wrapText="0"/>
    </xf>
    <xf borderId="0" fillId="4" fontId="1" numFmtId="1" xfId="0" applyAlignment="1" applyFill="1" applyFont="1" applyNumberFormat="1">
      <alignment horizontal="right" shrinkToFit="0" vertical="bottom" wrapText="0"/>
    </xf>
    <xf borderId="0" fillId="5" fontId="1" numFmtId="1" xfId="0" applyAlignment="1" applyFill="1" applyFont="1" applyNumberFormat="1">
      <alignment horizontal="right" shrinkToFit="0" vertical="bottom" wrapText="0"/>
    </xf>
    <xf borderId="0" fillId="6" fontId="1" numFmtId="1" xfId="0" applyAlignment="1" applyFill="1" applyFont="1" applyNumberFormat="1">
      <alignment horizontal="right" shrinkToFit="0" vertical="bottom" wrapText="0"/>
    </xf>
    <xf borderId="0" fillId="7" fontId="1" numFmtId="1" xfId="0" applyAlignment="1" applyFill="1" applyFont="1" applyNumberFormat="1">
      <alignment horizontal="right" shrinkToFit="0" vertical="bottom" wrapText="0"/>
    </xf>
    <xf borderId="0" fillId="0" fontId="1" numFmtId="1" xfId="0" applyAlignment="1" applyFont="1" applyNumberFormat="1">
      <alignment shrinkToFit="0" vertical="bottom" wrapText="0"/>
    </xf>
    <xf borderId="0" fillId="2" fontId="1" numFmtId="1" xfId="0" applyAlignment="1" applyFont="1" applyNumberFormat="1">
      <alignment shrinkToFit="0" vertical="bottom" wrapText="0"/>
    </xf>
    <xf borderId="0" fillId="3" fontId="1" numFmtId="1" xfId="0" applyAlignment="1" applyFont="1" applyNumberFormat="1">
      <alignment shrinkToFit="0" vertical="bottom" wrapText="0"/>
    </xf>
    <xf borderId="0" fillId="4" fontId="1" numFmtId="1" xfId="0" applyAlignment="1" applyFont="1" applyNumberFormat="1">
      <alignment shrinkToFit="0" vertical="bottom" wrapText="0"/>
    </xf>
    <xf borderId="0" fillId="5" fontId="1" numFmtId="1" xfId="0" applyAlignment="1" applyFont="1" applyNumberFormat="1">
      <alignment shrinkToFit="0" vertical="bottom" wrapText="0"/>
    </xf>
    <xf borderId="0" fillId="6" fontId="1" numFmtId="1" xfId="0" applyAlignment="1" applyFont="1" applyNumberFormat="1">
      <alignment shrinkToFit="0" vertical="bottom" wrapText="0"/>
    </xf>
    <xf borderId="0" fillId="7" fontId="1" numFmtId="1" xfId="0" applyAlignment="1" applyFont="1" applyNumberFormat="1">
      <alignment shrinkToFit="0" vertical="bottom" wrapText="0"/>
    </xf>
    <xf borderId="0" fillId="2" fontId="1" numFmtId="0" xfId="0" applyAlignment="1" applyFont="1">
      <alignment shrinkToFit="0" vertical="bottom" wrapText="0"/>
    </xf>
    <xf borderId="0" fillId="3" fontId="1" numFmtId="0" xfId="0" applyAlignment="1" applyFont="1">
      <alignment shrinkToFit="0" vertical="bottom" wrapText="0"/>
    </xf>
    <xf borderId="0" fillId="4" fontId="1" numFmtId="0" xfId="0" applyAlignment="1" applyFont="1">
      <alignment shrinkToFit="0" vertical="bottom" wrapText="0"/>
    </xf>
    <xf borderId="0" fillId="5" fontId="1" numFmtId="0" xfId="0" applyAlignment="1" applyFont="1">
      <alignment shrinkToFit="0" vertical="bottom" wrapText="0"/>
    </xf>
    <xf borderId="0" fillId="6" fontId="1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2" fillId="0" fontId="2" numFmtId="0" xfId="0" applyAlignment="1" applyBorder="1" applyFont="1">
      <alignment shrinkToFit="0" wrapText="1"/>
    </xf>
    <xf borderId="7" fillId="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shrinkToFit="0" vertical="bottom" wrapText="0"/>
    </xf>
    <xf borderId="8" fillId="0" fontId="1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shrinkToFit="0" wrapText="1"/>
    </xf>
    <xf borderId="5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10" fillId="0" fontId="1" numFmtId="0" xfId="0" applyAlignment="1" applyBorder="1" applyFont="1">
      <alignment shrinkToFit="0" vertical="bottom" wrapText="0"/>
    </xf>
    <xf borderId="6" fillId="0" fontId="2" numFmtId="0" xfId="0" applyAlignment="1" applyBorder="1" applyFont="1">
      <alignment shrinkToFit="0" wrapText="1"/>
    </xf>
    <xf borderId="8" fillId="0" fontId="2" numFmtId="0" xfId="0" applyAlignment="1" applyBorder="1" applyFont="1">
      <alignment shrinkToFit="0" wrapText="1"/>
    </xf>
    <xf borderId="7" fillId="0" fontId="2" numFmtId="0" xfId="0" applyAlignment="1" applyBorder="1" applyFont="1">
      <alignment shrinkToFit="0" wrapText="1"/>
    </xf>
    <xf borderId="0" fillId="0" fontId="4" numFmtId="0" xfId="0" applyAlignment="1" applyFont="1">
      <alignment shrinkToFit="0" vertical="bottom" wrapText="0"/>
    </xf>
    <xf borderId="9" fillId="0" fontId="2" numFmtId="0" xfId="0" applyAlignment="1" applyBorder="1" applyFont="1">
      <alignment shrinkToFit="0" wrapText="1"/>
    </xf>
    <xf borderId="6" fillId="0" fontId="1" numFmtId="0" xfId="0" applyAlignment="1" applyBorder="1" applyFont="1">
      <alignment horizontal="center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20.0"/>
    <col customWidth="1" min="2" max="7" width="7.63"/>
    <col customWidth="1" min="8" max="8" width="11.5"/>
    <col customWidth="1" min="9" max="25" width="7.63"/>
    <col customWidth="1" min="26" max="26" width="8.13"/>
  </cols>
  <sheetData>
    <row r="1">
      <c r="A1" s="1" t="s">
        <v>0</v>
      </c>
    </row>
    <row r="2">
      <c r="B2" s="2"/>
      <c r="D2" s="2"/>
    </row>
    <row r="3">
      <c r="A3" s="3" t="s">
        <v>1</v>
      </c>
      <c r="B3" s="4">
        <v>30.5</v>
      </c>
      <c r="C3" s="5" t="s">
        <v>2</v>
      </c>
      <c r="D3" s="4">
        <v>42.8</v>
      </c>
      <c r="E3" s="6" t="s">
        <v>3</v>
      </c>
    </row>
    <row r="4">
      <c r="A4" s="1" t="s">
        <v>4</v>
      </c>
      <c r="B4" s="7">
        <f>B3/4</f>
        <v>7.625</v>
      </c>
      <c r="D4" s="7">
        <f>D3/4</f>
        <v>10.7</v>
      </c>
    </row>
    <row r="5">
      <c r="A5" s="8" t="s">
        <v>5</v>
      </c>
      <c r="H5" s="8" t="s">
        <v>6</v>
      </c>
    </row>
    <row r="6">
      <c r="A6" s="1" t="s">
        <v>7</v>
      </c>
      <c r="B6" s="9">
        <f>$B$4*13.5</f>
        <v>102.9375</v>
      </c>
      <c r="C6" s="10">
        <f>$B$4*14</f>
        <v>106.75</v>
      </c>
      <c r="D6" s="11">
        <f>$B$4*14.5</f>
        <v>110.5625</v>
      </c>
      <c r="E6" s="12">
        <f>$B$4*15</f>
        <v>114.375</v>
      </c>
      <c r="F6" s="13">
        <f>$B$4*15.5</f>
        <v>118.1875</v>
      </c>
      <c r="H6" s="1" t="s">
        <v>7</v>
      </c>
      <c r="I6" s="9">
        <f>$B$4*5.5</f>
        <v>41.9375</v>
      </c>
      <c r="J6" s="10">
        <f>$B$4*6</f>
        <v>45.75</v>
      </c>
      <c r="K6" s="11">
        <f>$B$4*6.5</f>
        <v>49.5625</v>
      </c>
      <c r="L6" s="14">
        <f>$B$4*7</f>
        <v>53.375</v>
      </c>
      <c r="M6" s="13">
        <f>$B$4*7.5</f>
        <v>57.1875</v>
      </c>
      <c r="O6" s="15"/>
      <c r="P6" s="15"/>
      <c r="Q6" s="15"/>
      <c r="R6" s="15"/>
      <c r="S6" s="15"/>
      <c r="U6" s="15"/>
      <c r="V6" s="15"/>
      <c r="W6" s="15"/>
      <c r="X6" s="15"/>
      <c r="Y6" s="15"/>
    </row>
    <row r="7">
      <c r="A7" s="1" t="s">
        <v>8</v>
      </c>
      <c r="B7" s="16">
        <f>$D$4*8.5</f>
        <v>90.95</v>
      </c>
      <c r="C7" s="17">
        <f>$D$4*9.5</f>
        <v>101.65</v>
      </c>
      <c r="D7" s="18">
        <f>$D$4*10.5</f>
        <v>112.35</v>
      </c>
      <c r="E7" s="19">
        <f>$D$4*11.5</f>
        <v>123.05</v>
      </c>
      <c r="F7" s="20">
        <f>$D$4*12.5</f>
        <v>133.75</v>
      </c>
      <c r="H7" s="1" t="s">
        <v>9</v>
      </c>
      <c r="I7" s="16">
        <f t="shared" ref="I7:M7" si="1">(I10/2)+I6</f>
        <v>95.3125</v>
      </c>
      <c r="J7" s="17">
        <f t="shared" si="1"/>
        <v>104.84375</v>
      </c>
      <c r="K7" s="18">
        <f t="shared" si="1"/>
        <v>114.375</v>
      </c>
      <c r="L7" s="21">
        <f t="shared" si="1"/>
        <v>123.90625</v>
      </c>
      <c r="M7" s="20">
        <f t="shared" si="1"/>
        <v>133.4375</v>
      </c>
      <c r="N7" s="1" t="s">
        <v>10</v>
      </c>
    </row>
    <row r="8">
      <c r="A8" s="1" t="s">
        <v>11</v>
      </c>
      <c r="B8" s="16">
        <f>(24.5/2)*$B$4</f>
        <v>93.40625</v>
      </c>
      <c r="C8" s="17">
        <f>(26/2)*$B$4</f>
        <v>99.125</v>
      </c>
      <c r="D8" s="18">
        <f>(27.5/2)*$B$4</f>
        <v>104.84375</v>
      </c>
      <c r="E8" s="19">
        <f>(29/2)*$B$4</f>
        <v>110.5625</v>
      </c>
      <c r="F8" s="20">
        <f>(30.5/2)*$B$4</f>
        <v>116.28125</v>
      </c>
      <c r="H8" s="1" t="s">
        <v>12</v>
      </c>
      <c r="I8" s="16">
        <f t="shared" ref="I8:M8" si="2">I7+I6</f>
        <v>137.25</v>
      </c>
      <c r="J8" s="17">
        <f t="shared" si="2"/>
        <v>150.59375</v>
      </c>
      <c r="K8" s="18">
        <f t="shared" si="2"/>
        <v>163.9375</v>
      </c>
      <c r="L8" s="21">
        <f t="shared" si="2"/>
        <v>177.28125</v>
      </c>
      <c r="M8" s="20">
        <f t="shared" si="2"/>
        <v>190.625</v>
      </c>
      <c r="N8" s="1" t="s">
        <v>10</v>
      </c>
      <c r="O8" s="15"/>
      <c r="P8" s="15"/>
      <c r="Q8" s="15"/>
      <c r="R8" s="15"/>
      <c r="S8" s="15"/>
    </row>
    <row r="9">
      <c r="A9" s="1" t="s">
        <v>13</v>
      </c>
      <c r="B9" s="22"/>
      <c r="C9" s="23"/>
      <c r="D9" s="24"/>
      <c r="E9" s="25"/>
      <c r="F9" s="26"/>
      <c r="H9" s="1" t="s">
        <v>14</v>
      </c>
      <c r="I9" s="16">
        <f>5.5*$D$4</f>
        <v>58.85</v>
      </c>
      <c r="J9" s="17">
        <f>6*$D$4</f>
        <v>64.2</v>
      </c>
      <c r="K9" s="18">
        <f>6.5*$D$4</f>
        <v>69.55</v>
      </c>
      <c r="L9" s="21">
        <f>7*$D$4</f>
        <v>74.9</v>
      </c>
      <c r="M9" s="20">
        <f>7.5*$D$4</f>
        <v>80.25</v>
      </c>
      <c r="N9" s="1" t="s">
        <v>15</v>
      </c>
    </row>
    <row r="10">
      <c r="A10" s="1" t="s">
        <v>11</v>
      </c>
      <c r="B10" s="16">
        <f>(24.5/2)*$B$4</f>
        <v>93.40625</v>
      </c>
      <c r="C10" s="17">
        <f>(26/2)*$B$4</f>
        <v>99.125</v>
      </c>
      <c r="D10" s="18">
        <f>(27.5/2)*$B$4</f>
        <v>104.84375</v>
      </c>
      <c r="E10" s="19">
        <f>(29/2)*$B$4</f>
        <v>110.5625</v>
      </c>
      <c r="F10" s="20">
        <f>(30.5/2)*$B$4</f>
        <v>116.28125</v>
      </c>
      <c r="H10" s="1" t="s">
        <v>16</v>
      </c>
      <c r="I10" s="16">
        <f>14*$B$4</f>
        <v>106.75</v>
      </c>
      <c r="J10" s="17">
        <f>15.5*$B$4</f>
        <v>118.1875</v>
      </c>
      <c r="K10" s="18">
        <f>17*$B$4</f>
        <v>129.625</v>
      </c>
      <c r="L10" s="21">
        <f>18.5*$B$4</f>
        <v>141.0625</v>
      </c>
      <c r="M10" s="20">
        <f>20*$B$4</f>
        <v>152.5</v>
      </c>
    </row>
    <row r="11">
      <c r="A11" s="1" t="s">
        <v>13</v>
      </c>
      <c r="B11" s="22"/>
      <c r="C11" s="23"/>
      <c r="D11" s="24"/>
      <c r="E11" s="25"/>
      <c r="F11" s="26"/>
      <c r="H11" s="1" t="s">
        <v>17</v>
      </c>
      <c r="I11" s="16">
        <f>((24.5/2)-(7/2))*$D$4</f>
        <v>93.625</v>
      </c>
      <c r="J11" s="17">
        <f>((26/2)-(7/2))*$D$4</f>
        <v>101.65</v>
      </c>
      <c r="K11" s="18">
        <f>((27.5/2)-(7.5/2))*$D$4</f>
        <v>107</v>
      </c>
      <c r="L11" s="21">
        <f>((29/2)-(7.5/2))*$D$4</f>
        <v>115.025</v>
      </c>
      <c r="M11" s="20">
        <f>((30.5/2)-(8.5/2))*$D$4</f>
        <v>117.7</v>
      </c>
      <c r="N11" s="1" t="s">
        <v>18</v>
      </c>
    </row>
    <row r="12">
      <c r="A12" s="1" t="s">
        <v>8</v>
      </c>
      <c r="B12" s="16">
        <f>$D$4*14</f>
        <v>149.8</v>
      </c>
      <c r="C12" s="17">
        <f>$D$4*15.5</f>
        <v>165.85</v>
      </c>
      <c r="D12" s="18">
        <f>$D$4*17</f>
        <v>181.9</v>
      </c>
      <c r="E12" s="19">
        <f>$D$4*18.5</f>
        <v>197.95</v>
      </c>
      <c r="F12" s="20">
        <f>$D$4*20</f>
        <v>214</v>
      </c>
      <c r="H12" s="1" t="s">
        <v>17</v>
      </c>
      <c r="I12" s="16">
        <f t="shared" ref="I12:J12" si="3">(7*D4)+I11</f>
        <v>168.525</v>
      </c>
      <c r="J12" s="17">
        <f t="shared" si="3"/>
        <v>101.65</v>
      </c>
      <c r="K12" s="18">
        <f t="shared" ref="K12:L12" si="4">(7.5*F4)+K11</f>
        <v>107</v>
      </c>
      <c r="L12" s="21">
        <f t="shared" si="4"/>
        <v>115.025</v>
      </c>
      <c r="M12" s="20">
        <f>(8.5*H4)+M11</f>
        <v>117.7</v>
      </c>
      <c r="N12" s="1" t="s">
        <v>18</v>
      </c>
    </row>
    <row r="13">
      <c r="A13" s="1" t="s">
        <v>19</v>
      </c>
      <c r="B13" s="16">
        <f t="shared" ref="B13:C13" si="5">((7/2)*$B$4)*2</f>
        <v>53.375</v>
      </c>
      <c r="C13" s="17">
        <f t="shared" si="5"/>
        <v>53.375</v>
      </c>
      <c r="D13" s="18">
        <f>((7.5/2)*$B$4)*2</f>
        <v>57.1875</v>
      </c>
      <c r="E13" s="19">
        <f>(7.5/2)*$B$4*2</f>
        <v>57.1875</v>
      </c>
      <c r="F13" s="20">
        <f>(8.5/2)*$B$4*2</f>
        <v>64.8125</v>
      </c>
      <c r="H13" s="1" t="s">
        <v>20</v>
      </c>
      <c r="I13" s="16">
        <f>13.5*$D$4</f>
        <v>144.45</v>
      </c>
      <c r="J13" s="17">
        <f>14*$D$4</f>
        <v>149.8</v>
      </c>
      <c r="K13" s="18">
        <f>14.5*$D$4</f>
        <v>155.15</v>
      </c>
      <c r="L13" s="21">
        <f>15*$D$4</f>
        <v>160.5</v>
      </c>
      <c r="M13" s="20">
        <f>15.5*$D$4</f>
        <v>165.85</v>
      </c>
    </row>
    <row r="14">
      <c r="A14" s="1" t="s">
        <v>8</v>
      </c>
      <c r="B14" s="16">
        <f t="shared" ref="B14:F14" si="6">B12-B7+B12</f>
        <v>208.65</v>
      </c>
      <c r="C14" s="17">
        <f t="shared" si="6"/>
        <v>230.05</v>
      </c>
      <c r="D14" s="18">
        <f t="shared" si="6"/>
        <v>251.45</v>
      </c>
      <c r="E14" s="19">
        <f t="shared" si="6"/>
        <v>272.85</v>
      </c>
      <c r="F14" s="20">
        <f t="shared" si="6"/>
        <v>294.25</v>
      </c>
      <c r="H14" s="1" t="s">
        <v>21</v>
      </c>
      <c r="I14" s="16">
        <f t="shared" ref="I14:M14" si="7">I10</f>
        <v>106.75</v>
      </c>
      <c r="J14" s="17">
        <f t="shared" si="7"/>
        <v>118.1875</v>
      </c>
      <c r="K14" s="18">
        <f t="shared" si="7"/>
        <v>129.625</v>
      </c>
      <c r="L14" s="21">
        <f t="shared" si="7"/>
        <v>141.0625</v>
      </c>
      <c r="M14" s="20">
        <f t="shared" si="7"/>
        <v>152.5</v>
      </c>
    </row>
    <row r="15">
      <c r="A15" s="1" t="s">
        <v>22</v>
      </c>
      <c r="B15" s="16">
        <f t="shared" ref="B15:F15" si="8">B6/2</f>
        <v>51.46875</v>
      </c>
      <c r="C15" s="17">
        <f t="shared" si="8"/>
        <v>53.375</v>
      </c>
      <c r="D15" s="18">
        <f t="shared" si="8"/>
        <v>55.28125</v>
      </c>
      <c r="E15" s="19">
        <f t="shared" si="8"/>
        <v>57.1875</v>
      </c>
      <c r="F15" s="20">
        <f t="shared" si="8"/>
        <v>59.09375</v>
      </c>
      <c r="H15" s="1" t="s">
        <v>20</v>
      </c>
      <c r="I15" s="16">
        <f>24.5*$D$4</f>
        <v>262.15</v>
      </c>
      <c r="J15" s="17">
        <f>26*$D$4</f>
        <v>278.2</v>
      </c>
      <c r="K15" s="18">
        <f>27.5*$D$4</f>
        <v>294.25</v>
      </c>
      <c r="L15" s="21">
        <f>29*$D$4</f>
        <v>310.3</v>
      </c>
      <c r="M15" s="20">
        <f>30.5*$D$4</f>
        <v>326.35</v>
      </c>
    </row>
    <row r="16">
      <c r="A16" s="1" t="s">
        <v>13</v>
      </c>
      <c r="B16" s="16"/>
      <c r="C16" s="17"/>
      <c r="D16" s="18"/>
      <c r="E16" s="19"/>
      <c r="F16" s="20"/>
      <c r="H16" s="1" t="s">
        <v>23</v>
      </c>
    </row>
    <row r="17">
      <c r="A17" s="1" t="s">
        <v>22</v>
      </c>
      <c r="B17" s="16">
        <f t="shared" ref="B17:F17" si="9">B15</f>
        <v>51.46875</v>
      </c>
      <c r="C17" s="17">
        <f t="shared" si="9"/>
        <v>53.375</v>
      </c>
      <c r="D17" s="18">
        <f t="shared" si="9"/>
        <v>55.28125</v>
      </c>
      <c r="E17" s="19">
        <f t="shared" si="9"/>
        <v>57.1875</v>
      </c>
      <c r="F17" s="20">
        <f t="shared" si="9"/>
        <v>59.09375</v>
      </c>
    </row>
    <row r="18">
      <c r="A18" s="1" t="s">
        <v>13</v>
      </c>
      <c r="B18" s="16"/>
      <c r="C18" s="17"/>
      <c r="D18" s="18"/>
      <c r="E18" s="19"/>
      <c r="F18" s="20"/>
      <c r="H18" s="1" t="s">
        <v>24</v>
      </c>
    </row>
    <row r="19">
      <c r="A19" s="1" t="s">
        <v>8</v>
      </c>
      <c r="B19" s="16">
        <f t="shared" ref="B19:F19" si="10">B12*2</f>
        <v>299.6</v>
      </c>
      <c r="C19" s="17">
        <f t="shared" si="10"/>
        <v>331.7</v>
      </c>
      <c r="D19" s="18">
        <f t="shared" si="10"/>
        <v>363.8</v>
      </c>
      <c r="E19" s="19">
        <f t="shared" si="10"/>
        <v>395.9</v>
      </c>
      <c r="F19" s="20">
        <f t="shared" si="10"/>
        <v>428</v>
      </c>
    </row>
    <row r="20">
      <c r="A20" s="1" t="s">
        <v>23</v>
      </c>
    </row>
    <row r="22">
      <c r="A22" s="8" t="s">
        <v>25</v>
      </c>
    </row>
    <row r="23">
      <c r="A23" s="1" t="s">
        <v>26</v>
      </c>
      <c r="B23" s="1">
        <v>19.0</v>
      </c>
      <c r="C23" s="1" t="s">
        <v>2</v>
      </c>
      <c r="D23" s="1">
        <v>27.5</v>
      </c>
      <c r="E23" s="1" t="s">
        <v>3</v>
      </c>
    </row>
    <row r="24">
      <c r="A24" s="1" t="s">
        <v>27</v>
      </c>
      <c r="B24" s="1">
        <v>24.8</v>
      </c>
      <c r="D24" s="1">
        <v>34.3</v>
      </c>
    </row>
    <row r="25">
      <c r="A25" s="1" t="s">
        <v>28</v>
      </c>
      <c r="B25" s="1">
        <v>16.59</v>
      </c>
      <c r="D25" s="1">
        <v>22.5</v>
      </c>
    </row>
    <row r="26">
      <c r="A26" s="1" t="s">
        <v>29</v>
      </c>
      <c r="B26" s="1">
        <v>30.5</v>
      </c>
      <c r="D26" s="1">
        <v>42.8</v>
      </c>
    </row>
    <row r="28">
      <c r="A28" s="8" t="s">
        <v>30</v>
      </c>
    </row>
    <row r="30">
      <c r="A30" s="1" t="s">
        <v>31</v>
      </c>
    </row>
    <row r="31">
      <c r="A31" s="1" t="s">
        <v>32</v>
      </c>
    </row>
    <row r="32">
      <c r="A32" s="1" t="s">
        <v>33</v>
      </c>
    </row>
    <row r="33">
      <c r="A33" s="1" t="s">
        <v>34</v>
      </c>
    </row>
    <row r="34">
      <c r="J34" s="2"/>
      <c r="K34" s="2"/>
      <c r="L34" s="2"/>
      <c r="M34" s="2"/>
      <c r="N34" s="27" t="s">
        <v>35</v>
      </c>
      <c r="O34" s="2"/>
      <c r="P34" s="2"/>
      <c r="Q34" s="2"/>
      <c r="R34" s="2"/>
    </row>
    <row r="35">
      <c r="A35" s="1" t="s">
        <v>36</v>
      </c>
      <c r="I35" s="28"/>
      <c r="J35" s="29"/>
      <c r="K35" s="30"/>
      <c r="L35" s="30"/>
      <c r="M35" s="30"/>
      <c r="N35" s="30"/>
      <c r="O35" s="30"/>
      <c r="P35" s="30"/>
      <c r="Q35" s="30"/>
      <c r="R35" s="31"/>
      <c r="S35" s="32"/>
    </row>
    <row r="36">
      <c r="A36" s="1" t="s">
        <v>37</v>
      </c>
      <c r="I36" s="28"/>
      <c r="J36" s="33"/>
      <c r="K36" s="34"/>
      <c r="L36" s="34"/>
      <c r="M36" s="34"/>
      <c r="N36" s="1" t="s">
        <v>38</v>
      </c>
      <c r="R36" s="35"/>
      <c r="S36" s="6" t="s">
        <v>39</v>
      </c>
    </row>
    <row r="37">
      <c r="I37" s="28"/>
      <c r="J37" s="33"/>
      <c r="K37" s="34"/>
      <c r="L37" s="34"/>
      <c r="M37" s="34"/>
      <c r="N37" s="34"/>
      <c r="O37" s="34"/>
      <c r="P37" s="34"/>
      <c r="Q37" s="34"/>
      <c r="R37" s="35"/>
      <c r="S37" s="6" t="s">
        <v>40</v>
      </c>
    </row>
    <row r="38">
      <c r="A38" s="1" t="s">
        <v>41</v>
      </c>
      <c r="I38" s="28"/>
      <c r="J38" s="36"/>
      <c r="K38" s="37"/>
      <c r="L38" s="37"/>
      <c r="P38" s="37"/>
      <c r="Q38" s="37"/>
      <c r="R38" s="38"/>
      <c r="S38" s="32"/>
    </row>
    <row r="39">
      <c r="H39" s="1" t="s">
        <v>42</v>
      </c>
      <c r="J39" s="39"/>
      <c r="K39" s="39"/>
      <c r="L39" s="40"/>
      <c r="M39" s="33"/>
      <c r="N39" s="34"/>
      <c r="O39" s="35"/>
      <c r="P39" s="41"/>
      <c r="Q39" s="39"/>
      <c r="R39" s="39"/>
    </row>
    <row r="40">
      <c r="A40" s="1" t="s">
        <v>43</v>
      </c>
      <c r="H40" s="1" t="s">
        <v>44</v>
      </c>
      <c r="L40" s="28"/>
      <c r="M40" s="33"/>
      <c r="N40" s="34"/>
      <c r="O40" s="35"/>
      <c r="P40" s="32"/>
    </row>
    <row r="41">
      <c r="A41" s="42" t="str">
        <f>HYPERLINK("mailto:xelphinus@yahoo.com", "xelphinus@yahoo.com")</f>
        <v>xelphinus@yahoo.com</v>
      </c>
      <c r="L41" s="28"/>
      <c r="M41" s="33"/>
      <c r="N41" s="34"/>
      <c r="O41" s="35"/>
      <c r="P41" s="32"/>
    </row>
    <row r="42">
      <c r="L42" s="28"/>
      <c r="M42" s="33"/>
      <c r="N42" s="34"/>
      <c r="O42" s="35"/>
      <c r="P42" s="6" t="s">
        <v>45</v>
      </c>
    </row>
    <row r="43">
      <c r="L43" s="28"/>
      <c r="M43" s="33"/>
      <c r="N43" s="34"/>
      <c r="O43" s="35"/>
      <c r="P43" s="6" t="s">
        <v>46</v>
      </c>
    </row>
    <row r="44">
      <c r="L44" s="28"/>
      <c r="M44" s="33"/>
      <c r="N44" s="34"/>
      <c r="O44" s="35"/>
      <c r="P44" s="32"/>
    </row>
    <row r="45">
      <c r="L45" s="28"/>
      <c r="M45" s="33"/>
      <c r="N45" s="34"/>
      <c r="O45" s="35"/>
      <c r="P45" s="32"/>
    </row>
    <row r="46">
      <c r="L46" s="28"/>
      <c r="M46" s="36"/>
      <c r="N46" s="37"/>
      <c r="O46" s="38"/>
      <c r="P46" s="43"/>
    </row>
    <row r="47">
      <c r="M47" s="39"/>
      <c r="N47" s="44" t="s">
        <v>47</v>
      </c>
      <c r="O47" s="39"/>
      <c r="P47" s="39"/>
    </row>
  </sheetData>
  <mergeCells count="20">
    <mergeCell ref="A5:B5"/>
    <mergeCell ref="H5:I5"/>
    <mergeCell ref="H18:J18"/>
    <mergeCell ref="A22:D22"/>
    <mergeCell ref="A30:H30"/>
    <mergeCell ref="A31:D31"/>
    <mergeCell ref="A32:H32"/>
    <mergeCell ref="A35:B35"/>
    <mergeCell ref="A40:B40"/>
    <mergeCell ref="N36:Q36"/>
    <mergeCell ref="P42:Q42"/>
    <mergeCell ref="P43:R43"/>
    <mergeCell ref="N47:P47"/>
    <mergeCell ref="A33:C33"/>
    <mergeCell ref="N34:P34"/>
    <mergeCell ref="A36:E36"/>
    <mergeCell ref="S36:T36"/>
    <mergeCell ref="S37:T37"/>
    <mergeCell ref="A38:F38"/>
    <mergeCell ref="H40:I4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20" width="8.13"/>
  </cols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20" width="8.13"/>
  </cols>
  <sheetData/>
  <drawing r:id="rId1"/>
</worksheet>
</file>